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CalcoloUF+Fondo+Starter" sheetId="1" r:id="rId1"/>
    <sheet name="Fertirrigazione" sheetId="2" r:id="rId2"/>
    <sheet name="MiscelaMadre" sheetId="3" r:id="rId3"/>
    <sheet name="Concimi" sheetId="4" r:id="rId4"/>
    <sheet name="ConsumiIdrici" sheetId="5" r:id="rId5"/>
  </sheets>
  <definedNames/>
  <calcPr fullCalcOnLoad="1"/>
</workbook>
</file>

<file path=xl/sharedStrings.xml><?xml version="1.0" encoding="utf-8"?>
<sst xmlns="http://schemas.openxmlformats.org/spreadsheetml/2006/main" count="277" uniqueCount="226">
  <si>
    <t xml:space="preserve">Lunghezza radici </t>
  </si>
  <si>
    <t>Dose arricchimento P2O5</t>
  </si>
  <si>
    <t>Densità terreno</t>
  </si>
  <si>
    <t>Dose arricchimento K2O</t>
  </si>
  <si>
    <t>% argilla</t>
  </si>
  <si>
    <t>Dose arricchimento P2O5/5</t>
  </si>
  <si>
    <t>Calcare attivo</t>
  </si>
  <si>
    <t>Dose arricchimento P2O5/3</t>
  </si>
  <si>
    <t>ppm P2O5</t>
  </si>
  <si>
    <t>Dose arricchimento K2O/5</t>
  </si>
  <si>
    <t>ppm K2O</t>
  </si>
  <si>
    <t>Dose arricchimento K2O/3</t>
  </si>
  <si>
    <t>Totale</t>
  </si>
  <si>
    <t>Asportazioni pomodoro/t N</t>
  </si>
  <si>
    <t>Asportazioni pomodoro/t P2O5</t>
  </si>
  <si>
    <t>Asportazioni pomodoro/t K20</t>
  </si>
  <si>
    <t>Resa t/ha</t>
  </si>
  <si>
    <t>% S.O.</t>
  </si>
  <si>
    <t xml:space="preserve">Precessione colturale </t>
  </si>
  <si>
    <t>Cereali con paglia interrata</t>
  </si>
  <si>
    <t>Leguminose da granella o sovesci</t>
  </si>
  <si>
    <t>Prato di erba medica in ottimo stato</t>
  </si>
  <si>
    <t>Prato di erba medica in medio stato</t>
  </si>
  <si>
    <t xml:space="preserve">Coltura diversa dalle precedenti </t>
  </si>
  <si>
    <t>Apporti naturali</t>
  </si>
  <si>
    <t>ton</t>
  </si>
  <si>
    <t>Letamazioni anno in corso (t)</t>
  </si>
  <si>
    <t>Dose asportazione N</t>
  </si>
  <si>
    <t>Letamazione anno precedente (t)</t>
  </si>
  <si>
    <t>Dose asportazione P2O5</t>
  </si>
  <si>
    <t>Dose asportazione K2O</t>
  </si>
  <si>
    <t>N</t>
  </si>
  <si>
    <t>P2O5</t>
  </si>
  <si>
    <t>K2O</t>
  </si>
  <si>
    <t>UF distribuite</t>
  </si>
  <si>
    <t>UF mancanti</t>
  </si>
  <si>
    <t>nome concime</t>
  </si>
  <si>
    <t>kg di conc,</t>
  </si>
  <si>
    <t>titolo N</t>
  </si>
  <si>
    <t>titolo P2O5</t>
  </si>
  <si>
    <t>titolo K2O</t>
  </si>
  <si>
    <t>superalbamax</t>
  </si>
  <si>
    <t>perfosfato triplo</t>
  </si>
  <si>
    <t>nitrato di calcio</t>
  </si>
  <si>
    <t>nitrato di ammonio solubile</t>
  </si>
  <si>
    <t>nitrato di potassio</t>
  </si>
  <si>
    <t>fosfato mono ammonico</t>
  </si>
  <si>
    <t>fosfato mono potassico</t>
  </si>
  <si>
    <t>18-18-18</t>
  </si>
  <si>
    <t>20-20-20</t>
  </si>
  <si>
    <t>Nome Concime</t>
  </si>
  <si>
    <t>OMg</t>
  </si>
  <si>
    <t>Super Robor</t>
  </si>
  <si>
    <t>Nitrato di calcio</t>
  </si>
  <si>
    <t>Nitrato di ammonio</t>
  </si>
  <si>
    <t>solfato di ammonio</t>
  </si>
  <si>
    <t>Urea</t>
  </si>
  <si>
    <t>perfosfato semplice</t>
  </si>
  <si>
    <t>fosfato biammonico</t>
  </si>
  <si>
    <t>fosfato monoammonico</t>
  </si>
  <si>
    <t>P54 (inserire in ettolitri)(d=1.58)</t>
  </si>
  <si>
    <t>P61 (inserire in ettolitri)(d=1.68)</t>
  </si>
  <si>
    <t>solfato di potassio</t>
  </si>
  <si>
    <t>solfato potassio magnesiaco</t>
  </si>
  <si>
    <t>nitrato di ammonio (34)</t>
  </si>
  <si>
    <t>Carosello super (organico)</t>
  </si>
  <si>
    <t>Cristamap</t>
  </si>
  <si>
    <t>Biofert (oragnominerale)</t>
  </si>
  <si>
    <t>Superalba (organo minerale)</t>
  </si>
  <si>
    <t>Nutrigran (organo minerale)</t>
  </si>
  <si>
    <t xml:space="preserve">Azotop </t>
  </si>
  <si>
    <t>ternario timac</t>
  </si>
  <si>
    <t>Organfert olivo (TAI)</t>
  </si>
  <si>
    <t>fosfactil</t>
  </si>
  <si>
    <t>BAYFOLAN MULTI</t>
  </si>
  <si>
    <t>Orgamide</t>
  </si>
  <si>
    <t>7 - 25 Timac</t>
  </si>
  <si>
    <t>8 - 24 - 20</t>
  </si>
  <si>
    <t>Timasprint</t>
  </si>
  <si>
    <t xml:space="preserve">Ilsafert frutteto </t>
  </si>
  <si>
    <t>Fertigrena</t>
  </si>
  <si>
    <t>duetto (organico)</t>
  </si>
  <si>
    <t>PakTimac</t>
  </si>
  <si>
    <t>9 - 16 - 11 (Puccioni)</t>
  </si>
  <si>
    <t>Nitrophoska Blu</t>
  </si>
  <si>
    <t>Solfato di Magnesio</t>
  </si>
  <si>
    <t>1Concime 5 - 25</t>
  </si>
  <si>
    <t>Humustart Geo</t>
  </si>
  <si>
    <t>14 - 10 - 24</t>
  </si>
  <si>
    <t>Pratiko</t>
  </si>
  <si>
    <t>8-10-22</t>
  </si>
  <si>
    <t>12-12-12</t>
  </si>
  <si>
    <t>Humustart ZN</t>
  </si>
  <si>
    <t>Joker mole bio liq</t>
  </si>
  <si>
    <t>Neutral P 30 (BIO?) liq</t>
  </si>
  <si>
    <t>Multifeed liq</t>
  </si>
  <si>
    <t>Promoter Soil (bio) liq</t>
  </si>
  <si>
    <t>Ferter 21-21-21</t>
  </si>
  <si>
    <t>Folical liq</t>
  </si>
  <si>
    <t>Magnesio plus liq</t>
  </si>
  <si>
    <t>Challenger (BIO) liq</t>
  </si>
  <si>
    <t>Calciocianamide</t>
  </si>
  <si>
    <t>Nutex Slow o Azteco</t>
  </si>
  <si>
    <t xml:space="preserve">Phitophos K </t>
  </si>
  <si>
    <t>Humustart Super</t>
  </si>
  <si>
    <t xml:space="preserve">Ferter 8-24-24 </t>
  </si>
  <si>
    <t>Krista MgS</t>
  </si>
  <si>
    <t xml:space="preserve">K Express </t>
  </si>
  <si>
    <t>Zimostart N20</t>
  </si>
  <si>
    <t>Top Retard</t>
  </si>
  <si>
    <t>EXTREME 10 - 5 - 25 granulare</t>
  </si>
  <si>
    <t>8 - 5 -10 (Mazzarri)</t>
  </si>
  <si>
    <t>Entec 25 - 15</t>
  </si>
  <si>
    <t>Fosfato monopotassico</t>
  </si>
  <si>
    <t>Agromaster</t>
  </si>
  <si>
    <t>Multigro (Terre dell Etruria)</t>
  </si>
  <si>
    <t>Complesso 20-10-10</t>
  </si>
  <si>
    <t>StallGrena (organico)</t>
  </si>
  <si>
    <t>Siapor Victory</t>
  </si>
  <si>
    <t xml:space="preserve">Nitrophoska Elite </t>
  </si>
  <si>
    <t xml:space="preserve">Solinure </t>
  </si>
  <si>
    <t>Nifert (organico)</t>
  </si>
  <si>
    <t>Bionatura</t>
  </si>
  <si>
    <t>Multiseed mini</t>
  </si>
  <si>
    <t xml:space="preserve">Multifeed </t>
  </si>
  <si>
    <t>MIcrob NP</t>
  </si>
  <si>
    <t>Nitropotassa (Valagro)</t>
  </si>
  <si>
    <t>Labin 4 - 6 - 12</t>
  </si>
  <si>
    <t>Fertil Max</t>
  </si>
  <si>
    <t>Entec Solubile (21)</t>
  </si>
  <si>
    <t xml:space="preserve">Multi SOP </t>
  </si>
  <si>
    <t>Entec 26</t>
  </si>
  <si>
    <t>Belfrutto</t>
  </si>
  <si>
    <t>Multipecton</t>
  </si>
  <si>
    <t>Fertil Agreste</t>
  </si>
  <si>
    <t>Agrofert MB</t>
  </si>
  <si>
    <t>Trefert (organico)</t>
  </si>
  <si>
    <t>Hidrofert</t>
  </si>
  <si>
    <t>Triomin (organominerale)</t>
  </si>
  <si>
    <t>Phenix (organico)</t>
  </si>
  <si>
    <t>10-25</t>
  </si>
  <si>
    <t>Timasprint 10 - 5 - 12</t>
  </si>
  <si>
    <t>10 - 5 - 5 organominerale</t>
  </si>
  <si>
    <t>Sanza Umida</t>
  </si>
  <si>
    <t>Litozinc</t>
  </si>
  <si>
    <t>Micro NP (Valagro)</t>
  </si>
  <si>
    <t>20 - 20 - 20</t>
  </si>
  <si>
    <t>Nitrato di magnesio</t>
  </si>
  <si>
    <t>20-10-10</t>
  </si>
  <si>
    <t>11 - 22 - 16</t>
  </si>
  <si>
    <t>BIO-n Tech</t>
  </si>
  <si>
    <t>15-10-1930</t>
  </si>
  <si>
    <t>6-21-36</t>
  </si>
  <si>
    <t>Novammon</t>
  </si>
  <si>
    <t>Acido nitrico 67% (INSERIRE IN ETTOLITRI) D = 1.41</t>
  </si>
  <si>
    <t>dipende dall'andamento stagionale</t>
  </si>
  <si>
    <t>Coltura e tipologia di coltivazione</t>
  </si>
  <si>
    <t>Consumo idrico minimo espresso mc/ha</t>
  </si>
  <si>
    <t>Consumo idrico massimo espresso mc/ha</t>
  </si>
  <si>
    <t>Consumo idrico medio espresso mc/ha</t>
  </si>
  <si>
    <t>fonte</t>
  </si>
  <si>
    <t xml:space="preserve">Tipologia d'irrigazione e coltivazione prevalente (oltre il 90 %) </t>
  </si>
  <si>
    <t>Cocomero pieno campo</t>
  </si>
  <si>
    <t>schede irrigue ARSIA</t>
  </si>
  <si>
    <t>irrigazione a goccia e pacciamatura</t>
  </si>
  <si>
    <t>Cocomero tunnel 30 cm.</t>
  </si>
  <si>
    <t>melone pieno campo</t>
  </si>
  <si>
    <t>Melone tunnel 30 cm.</t>
  </si>
  <si>
    <t>Melone tunnel 80 cm.</t>
  </si>
  <si>
    <t>data base interno</t>
  </si>
  <si>
    <t>Divisione fasi: da trapianto a 15 da inizio raccolta 540 mc - da 15 gg prima della racc fino a inizio racc. 287 mc - da inizio raccolrìta a fine raccolta 180 mc</t>
  </si>
  <si>
    <t>Pomodoro da industria</t>
  </si>
  <si>
    <t>irrigazione a goccia</t>
  </si>
  <si>
    <t>Pomodoro da mensa ad accrescimento determinato</t>
  </si>
  <si>
    <t>Barbabietola da zucchero a semina primaverile</t>
  </si>
  <si>
    <t>pioggia</t>
  </si>
  <si>
    <t>Barbabietola da zucchero a semina autunnale</t>
  </si>
  <si>
    <t>Consorsio nazionale bieticoltori</t>
  </si>
  <si>
    <t>spinacio</t>
  </si>
  <si>
    <t>Carciofo</t>
  </si>
  <si>
    <t>carciofo goccia</t>
  </si>
  <si>
    <t>Pomodoro serra</t>
  </si>
  <si>
    <r>
      <t>Totale N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da apportare ad ettaro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</si>
  <si>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</si>
  <si>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</si>
  <si>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UF da distribuire nell'appezzamento</t>
  </si>
  <si>
    <t>Percentuale di fondo</t>
  </si>
  <si>
    <t>Concimazione di fondo</t>
  </si>
  <si>
    <t>Concimazione starter</t>
  </si>
  <si>
    <t xml:space="preserve">Totale starter </t>
  </si>
  <si>
    <t>UF rimanenti dopo lo starter nell'appezzamento</t>
  </si>
  <si>
    <t>ppm di bicarbonati nell'acqua irr.</t>
  </si>
  <si>
    <t>Ac. Nitrico 53%</t>
  </si>
  <si>
    <t>g-ml/mc</t>
  </si>
  <si>
    <t>UF da distribuire in fertirrigazione/sett.</t>
  </si>
  <si>
    <t>Vol.irr mc/ha</t>
  </si>
  <si>
    <t>Voirr. Mc a sett.</t>
  </si>
  <si>
    <t>UF distribuite in fert.</t>
  </si>
  <si>
    <t>Ac. Nitrico 67%</t>
  </si>
  <si>
    <t>Ac. Fosforico 75%(P54)</t>
  </si>
  <si>
    <t>Ac. Fosforico 85%(P61)</t>
  </si>
  <si>
    <t>Ac Solforico (94%)</t>
  </si>
  <si>
    <t>Peso eq.</t>
  </si>
  <si>
    <t>densità ac.</t>
  </si>
  <si>
    <t>% di comp. biC (70)</t>
  </si>
  <si>
    <t>conc. Acido</t>
  </si>
  <si>
    <t>ml di acido/m3 per ottenere pH6 della soluzione = ppm di bicarbonato/61*0.7*Peso equivalente dell’acido/concentrazione dell’acido/densità</t>
  </si>
  <si>
    <t>Solfato di potassio</t>
  </si>
  <si>
    <t>superficie da concimare (settore irriguo)</t>
  </si>
  <si>
    <t>distanza tra le ali gocciolanti (m)</t>
  </si>
  <si>
    <t>Superficie. Settore (ha)</t>
  </si>
  <si>
    <t>distanza tra i gocciolatori (m)</t>
  </si>
  <si>
    <t>portata del gocciolatore (L/h)</t>
  </si>
  <si>
    <t>Portata del settore (L/h)</t>
  </si>
  <si>
    <t>Portata dell'igniettore (L/h)</t>
  </si>
  <si>
    <t>L/h</t>
  </si>
  <si>
    <t>L/min</t>
  </si>
  <si>
    <t>Fattore di concentrazione (fc)</t>
  </si>
  <si>
    <t>Volume del contenitore della miscela madre (mc)</t>
  </si>
  <si>
    <t>Kg di concime nel contenitore</t>
  </si>
  <si>
    <t>Litri di acido nel contenitore</t>
  </si>
  <si>
    <t>Numero di recipienti necessari per il ciclo</t>
  </si>
  <si>
    <t>Ore d'irrigazione previste</t>
  </si>
  <si>
    <t>Durata dello stock (ore d'irrigazione)</t>
  </si>
  <si>
    <t>Concimi da introdurre nel fertirrigatore per ora di irrigazione (escuso acidi)</t>
  </si>
  <si>
    <t>Kg/h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</si>
</sst>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0" fontId="0" fillId="0" borderId="0" xfId="0" applyFill="1" applyBorder="1" applyAlignment="1" quotePrefix="1">
      <alignment/>
    </xf>
    <xf numFmtId="0" fontId="18" fillId="0" borderId="0" xfId="0" applyNumberFormat="1" applyFont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1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48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5</xdr:col>
      <xdr:colOff>1209675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23825"/>
          <a:ext cx="4210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dei consumi idrici utilizzati per fornire i consigli di fertirrigazione - Ass. CIPAAT Sv. Rurale - Livorno per le colture irrigue più diffuse in Val Di Cornia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32.00390625" style="0" customWidth="1"/>
    <col min="3" max="3" width="9.28125" style="0" bestFit="1" customWidth="1"/>
    <col min="4" max="4" width="13.7109375" style="0" customWidth="1"/>
    <col min="5" max="5" width="9.28125" style="0" bestFit="1" customWidth="1"/>
    <col min="6" max="6" width="10.00390625" style="0" bestFit="1" customWidth="1"/>
    <col min="7" max="7" width="15.8515625" style="0" customWidth="1"/>
    <col min="8" max="9" width="9.28125" style="0" bestFit="1" customWidth="1"/>
  </cols>
  <sheetData>
    <row r="1" spans="1:11" ht="12.75">
      <c r="A1" t="s">
        <v>0</v>
      </c>
      <c r="D1">
        <v>0.35</v>
      </c>
      <c r="G1" t="s">
        <v>1</v>
      </c>
      <c r="H1" s="1">
        <f>D1*D2*(100-D5)*(1+(0.02*D4)+(0.0133*D3))*10</f>
        <v>571.0705909999999</v>
      </c>
      <c r="J1" s="1">
        <f>I1*H1</f>
        <v>0</v>
      </c>
      <c r="K1" s="1"/>
    </row>
    <row r="2" spans="1:11" ht="12.75">
      <c r="A2" t="s">
        <v>2</v>
      </c>
      <c r="D2">
        <v>1.3</v>
      </c>
      <c r="G2" t="s">
        <v>3</v>
      </c>
      <c r="H2" s="1">
        <f>D1*D2*(150-D6)*(0.0166*D3+1.033)*10</f>
        <v>38.03490599999999</v>
      </c>
      <c r="J2" s="1"/>
      <c r="K2" s="1">
        <f>I2*H2</f>
        <v>0</v>
      </c>
    </row>
    <row r="3" spans="1:11" ht="12.75">
      <c r="A3" t="s">
        <v>4</v>
      </c>
      <c r="D3">
        <v>21.7</v>
      </c>
      <c r="G3" t="s">
        <v>5</v>
      </c>
      <c r="H3" s="1">
        <f>H1/5</f>
        <v>114.21411819999999</v>
      </c>
      <c r="I3">
        <v>1</v>
      </c>
      <c r="J3" s="1">
        <f>I3*H3</f>
        <v>114.21411819999999</v>
      </c>
      <c r="K3" s="1"/>
    </row>
    <row r="4" spans="1:11" ht="12.75">
      <c r="A4" t="s">
        <v>6</v>
      </c>
      <c r="D4">
        <v>12.1</v>
      </c>
      <c r="G4" t="s">
        <v>7</v>
      </c>
      <c r="H4" s="1">
        <f>H1/3</f>
        <v>190.35686366666664</v>
      </c>
      <c r="J4" s="1">
        <f>I4*H4</f>
        <v>0</v>
      </c>
      <c r="K4" s="1"/>
    </row>
    <row r="5" spans="1:11" ht="12.75">
      <c r="A5" t="s">
        <v>8</v>
      </c>
      <c r="D5">
        <v>18</v>
      </c>
      <c r="G5" t="s">
        <v>9</v>
      </c>
      <c r="H5" s="1">
        <f>H2/5</f>
        <v>7.606981199999998</v>
      </c>
      <c r="I5">
        <v>1</v>
      </c>
      <c r="J5" s="1"/>
      <c r="K5" s="1">
        <f>I5*H5</f>
        <v>7.606981199999998</v>
      </c>
    </row>
    <row r="6" spans="1:11" ht="12.75">
      <c r="A6" t="s">
        <v>10</v>
      </c>
      <c r="D6">
        <v>144</v>
      </c>
      <c r="G6" t="s">
        <v>11</v>
      </c>
      <c r="H6" s="1">
        <f>H2/3</f>
        <v>12.678301999999997</v>
      </c>
      <c r="J6" s="1"/>
      <c r="K6" s="1">
        <f>I6*H6</f>
        <v>0</v>
      </c>
    </row>
    <row r="7" spans="9:11" ht="12.75">
      <c r="I7" t="s">
        <v>12</v>
      </c>
      <c r="J7" s="1">
        <f>SUM(J1:J6)</f>
        <v>114.21411819999999</v>
      </c>
      <c r="K7" s="1">
        <f>SUM(K1:K6)</f>
        <v>7.606981199999998</v>
      </c>
    </row>
    <row r="9" spans="1:4" ht="12.75">
      <c r="A9" t="s">
        <v>13</v>
      </c>
      <c r="D9">
        <v>1.7</v>
      </c>
    </row>
    <row r="10" spans="1:4" ht="12.75">
      <c r="A10" t="s">
        <v>14</v>
      </c>
      <c r="D10">
        <v>0.35</v>
      </c>
    </row>
    <row r="11" spans="1:4" ht="12.75">
      <c r="A11" t="s">
        <v>15</v>
      </c>
      <c r="D11">
        <v>3.2</v>
      </c>
    </row>
    <row r="12" spans="1:4" ht="12.75">
      <c r="A12" t="s">
        <v>16</v>
      </c>
      <c r="D12">
        <v>100</v>
      </c>
    </row>
    <row r="13" spans="1:5" ht="12.75">
      <c r="A13" t="s">
        <v>17</v>
      </c>
      <c r="D13">
        <v>1.91</v>
      </c>
      <c r="E13">
        <f>-D13*30*0.6</f>
        <v>-34.379999999999995</v>
      </c>
    </row>
    <row r="14" spans="1:3" ht="12.75">
      <c r="A14" s="2" t="s">
        <v>18</v>
      </c>
      <c r="B14" s="2"/>
      <c r="C14" s="2"/>
    </row>
    <row r="15" spans="1:6" ht="12.75">
      <c r="A15" t="s">
        <v>19</v>
      </c>
      <c r="E15">
        <v>30</v>
      </c>
      <c r="F15">
        <f>E15*D15</f>
        <v>0</v>
      </c>
    </row>
    <row r="16" spans="1:6" ht="12.75">
      <c r="A16" t="s">
        <v>20</v>
      </c>
      <c r="E16">
        <v>-30</v>
      </c>
      <c r="F16">
        <f>E16*D16</f>
        <v>0</v>
      </c>
    </row>
    <row r="17" spans="1:6" ht="12.75">
      <c r="A17" t="s">
        <v>21</v>
      </c>
      <c r="E17">
        <v>-60</v>
      </c>
      <c r="F17">
        <f>E17*D17</f>
        <v>0</v>
      </c>
    </row>
    <row r="18" spans="1:6" ht="12.75">
      <c r="A18" t="s">
        <v>22</v>
      </c>
      <c r="E18">
        <v>-30</v>
      </c>
      <c r="F18">
        <f>E18*D18</f>
        <v>0</v>
      </c>
    </row>
    <row r="19" spans="1:6" ht="12.75">
      <c r="A19" t="s">
        <v>23</v>
      </c>
      <c r="D19">
        <v>1</v>
      </c>
      <c r="E19">
        <v>0</v>
      </c>
      <c r="F19">
        <f>E19*D19</f>
        <v>0</v>
      </c>
    </row>
    <row r="20" spans="1:4" ht="12.75">
      <c r="A20" s="2" t="s">
        <v>24</v>
      </c>
      <c r="B20" s="2"/>
      <c r="C20" s="2"/>
      <c r="D20" t="s">
        <v>25</v>
      </c>
    </row>
    <row r="21" spans="1:8" ht="12.75">
      <c r="A21" t="s">
        <v>26</v>
      </c>
      <c r="E21">
        <f>-D21*0.83</f>
        <v>0</v>
      </c>
      <c r="F21">
        <f>E21*D21</f>
        <v>0</v>
      </c>
      <c r="G21" t="s">
        <v>27</v>
      </c>
      <c r="H21">
        <f>D12*D9+F24+E13</f>
        <v>135.62</v>
      </c>
    </row>
    <row r="22" spans="1:8" ht="12.75">
      <c r="A22" t="s">
        <v>28</v>
      </c>
      <c r="E22">
        <f>-D22*0.42</f>
        <v>0</v>
      </c>
      <c r="F22">
        <f>E22*D22</f>
        <v>0</v>
      </c>
      <c r="G22" t="s">
        <v>29</v>
      </c>
      <c r="H22">
        <f>D12*D10</f>
        <v>35</v>
      </c>
    </row>
    <row r="23" spans="7:8" ht="12.75">
      <c r="G23" t="s">
        <v>30</v>
      </c>
      <c r="H23">
        <f>D12*D11</f>
        <v>320</v>
      </c>
    </row>
    <row r="24" spans="4:6" ht="12.75">
      <c r="D24" t="s">
        <v>12</v>
      </c>
      <c r="F24">
        <f>SUM(F15:F22)</f>
        <v>0</v>
      </c>
    </row>
    <row r="26" spans="2:6" ht="14.25">
      <c r="B26" s="2"/>
      <c r="C26" s="2"/>
      <c r="D26" s="2" t="s">
        <v>31</v>
      </c>
      <c r="E26" s="2" t="s">
        <v>183</v>
      </c>
      <c r="F26" s="2" t="s">
        <v>184</v>
      </c>
    </row>
    <row r="27" spans="1:6" ht="14.25">
      <c r="A27" s="2" t="s">
        <v>182</v>
      </c>
      <c r="D27">
        <f>H21</f>
        <v>135.62</v>
      </c>
      <c r="E27" s="1">
        <f>J7+H22</f>
        <v>149.21411819999997</v>
      </c>
      <c r="F27" s="1">
        <f>K7+H23</f>
        <v>327.6069812</v>
      </c>
    </row>
    <row r="28" spans="1:6" ht="12.75">
      <c r="A28" s="2" t="s">
        <v>208</v>
      </c>
      <c r="B28" s="2">
        <v>1.2</v>
      </c>
      <c r="D28" s="2"/>
      <c r="E28" s="2"/>
      <c r="F28" s="2"/>
    </row>
    <row r="29" spans="1:6" ht="12.75">
      <c r="A29" s="2" t="s">
        <v>185</v>
      </c>
      <c r="B29" s="2"/>
      <c r="D29" s="23">
        <f>D27*$B$28</f>
        <v>162.744</v>
      </c>
      <c r="E29" s="23">
        <f>E27*$B$28</f>
        <v>179.05694183999995</v>
      </c>
      <c r="F29" s="23">
        <f>F27*$B$28</f>
        <v>393.12837744</v>
      </c>
    </row>
    <row r="30" spans="1:6" ht="12.75">
      <c r="A30" t="s">
        <v>34</v>
      </c>
      <c r="D30">
        <f>SUM(D35:D37)</f>
        <v>24</v>
      </c>
      <c r="E30">
        <f>SUM(E35:E37)</f>
        <v>54</v>
      </c>
      <c r="F30">
        <f>SUM(F35:F37)</f>
        <v>63</v>
      </c>
    </row>
    <row r="31" spans="1:6" ht="12.75">
      <c r="A31" t="s">
        <v>35</v>
      </c>
      <c r="D31" s="1">
        <f>D29-D30</f>
        <v>138.744</v>
      </c>
      <c r="E31" s="1">
        <f>E29-E30</f>
        <v>125.05694183999995</v>
      </c>
      <c r="F31" s="1">
        <f>F29-F30</f>
        <v>330.12837744</v>
      </c>
    </row>
    <row r="32" spans="1:6" ht="12.75">
      <c r="A32" s="2" t="s">
        <v>187</v>
      </c>
      <c r="D32" s="1"/>
      <c r="E32" s="1"/>
      <c r="F32" s="1"/>
    </row>
    <row r="33" spans="1:6" ht="12.75">
      <c r="A33" s="2" t="s">
        <v>186</v>
      </c>
      <c r="D33" s="24">
        <f>D30/D29</f>
        <v>0.1474708745022858</v>
      </c>
      <c r="E33" s="24">
        <f>E30/E29</f>
        <v>0.30158004177382197</v>
      </c>
      <c r="F33" s="24">
        <f>F30/F29</f>
        <v>0.16025299524355802</v>
      </c>
    </row>
    <row r="34" spans="1:9" ht="12.75">
      <c r="A34" t="s">
        <v>36</v>
      </c>
      <c r="C34" s="2" t="s">
        <v>37</v>
      </c>
      <c r="G34" t="s">
        <v>38</v>
      </c>
      <c r="H34" t="s">
        <v>39</v>
      </c>
      <c r="I34" t="s">
        <v>40</v>
      </c>
    </row>
    <row r="35" spans="1:9" ht="12.75">
      <c r="A35" t="s">
        <v>41</v>
      </c>
      <c r="C35" s="2">
        <v>300</v>
      </c>
      <c r="D35">
        <f aca="true" t="shared" si="0" ref="D35:F36">$C35*G35/100</f>
        <v>24</v>
      </c>
      <c r="E35">
        <f t="shared" si="0"/>
        <v>54</v>
      </c>
      <c r="F35">
        <f t="shared" si="0"/>
        <v>63</v>
      </c>
      <c r="G35">
        <v>8</v>
      </c>
      <c r="H35">
        <v>18</v>
      </c>
      <c r="I35">
        <v>21</v>
      </c>
    </row>
    <row r="36" spans="1:9" ht="12.75">
      <c r="A36" t="s">
        <v>42</v>
      </c>
      <c r="C36" s="2">
        <v>0</v>
      </c>
      <c r="D36">
        <f t="shared" si="0"/>
        <v>0</v>
      </c>
      <c r="E36">
        <f t="shared" si="0"/>
        <v>0</v>
      </c>
      <c r="F36">
        <f t="shared" si="0"/>
        <v>0</v>
      </c>
      <c r="G36">
        <v>0</v>
      </c>
      <c r="H36">
        <v>46</v>
      </c>
      <c r="I36">
        <v>0</v>
      </c>
    </row>
    <row r="37" ht="12.75">
      <c r="C37" s="2"/>
    </row>
    <row r="38" ht="12.75">
      <c r="A38" t="s">
        <v>188</v>
      </c>
    </row>
    <row r="39" spans="1:5" ht="12.75">
      <c r="A39" t="s">
        <v>42</v>
      </c>
      <c r="E39">
        <f>C39*0.46</f>
        <v>0</v>
      </c>
    </row>
    <row r="40" spans="1:5" ht="12.75">
      <c r="A40" t="s">
        <v>59</v>
      </c>
      <c r="C40">
        <v>40</v>
      </c>
      <c r="D40">
        <f>C40*0.12</f>
        <v>4.8</v>
      </c>
      <c r="E40">
        <f>C40*0.61</f>
        <v>24.4</v>
      </c>
    </row>
    <row r="41" spans="1:5" ht="12.75">
      <c r="A41" t="s">
        <v>58</v>
      </c>
      <c r="C41" s="2"/>
      <c r="D41">
        <f>C41*0.18</f>
        <v>0</v>
      </c>
      <c r="E41">
        <f>C41*0.46</f>
        <v>0</v>
      </c>
    </row>
    <row r="42" ht="12.75">
      <c r="C42" s="2"/>
    </row>
    <row r="43" ht="12.75">
      <c r="C43" s="2"/>
    </row>
    <row r="44" spans="1:6" ht="12.75">
      <c r="A44" t="s">
        <v>189</v>
      </c>
      <c r="C44" s="2"/>
      <c r="D44">
        <f>SUM(D40:D43)</f>
        <v>4.8</v>
      </c>
      <c r="E44">
        <f>SUM(E39:E43)</f>
        <v>24.4</v>
      </c>
      <c r="F44">
        <f>SUM(F39:F43)</f>
        <v>0</v>
      </c>
    </row>
    <row r="45" spans="1:6" ht="12.75">
      <c r="A45" t="s">
        <v>190</v>
      </c>
      <c r="C45" s="2"/>
      <c r="D45" s="1">
        <f>D31-D44</f>
        <v>133.944</v>
      </c>
      <c r="E45" s="1">
        <f>E31-E44</f>
        <v>100.65694183999994</v>
      </c>
      <c r="F45" s="1">
        <f>F31-F44</f>
        <v>330.12837744</v>
      </c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57421875" style="0" customWidth="1"/>
    <col min="3" max="3" width="12.28125" style="0" customWidth="1"/>
    <col min="6" max="6" width="6.57421875" style="0" bestFit="1" customWidth="1"/>
    <col min="10" max="10" width="11.8515625" style="0" customWidth="1"/>
    <col min="11" max="11" width="11.140625" style="0" customWidth="1"/>
  </cols>
  <sheetData>
    <row r="1" spans="4:11" ht="12.75">
      <c r="D1" t="s">
        <v>31</v>
      </c>
      <c r="E1" t="s">
        <v>32</v>
      </c>
      <c r="F1" t="s">
        <v>33</v>
      </c>
      <c r="I1" t="s">
        <v>202</v>
      </c>
      <c r="J1" t="s">
        <v>205</v>
      </c>
      <c r="K1" t="s">
        <v>203</v>
      </c>
    </row>
    <row r="2" spans="1:8" ht="12.75">
      <c r="A2" t="s">
        <v>194</v>
      </c>
      <c r="D2" s="1">
        <f>'CalcoloUF+Fondo+Starter'!D45</f>
        <v>133.944</v>
      </c>
      <c r="E2" s="1">
        <f>'CalcoloUF+Fondo+Starter'!E45</f>
        <v>100.65694183999994</v>
      </c>
      <c r="F2" s="1">
        <f>'CalcoloUF+Fondo+Starter'!F45</f>
        <v>330.12837744</v>
      </c>
      <c r="H2" t="s">
        <v>204</v>
      </c>
    </row>
    <row r="3" spans="1:8" ht="12.75">
      <c r="A3" t="s">
        <v>191</v>
      </c>
      <c r="G3">
        <v>300</v>
      </c>
      <c r="H3" s="24">
        <f>SUM(H17:H21)</f>
        <v>0</v>
      </c>
    </row>
    <row r="4" spans="1:7" ht="12.75">
      <c r="A4" t="s">
        <v>195</v>
      </c>
      <c r="G4">
        <v>2600</v>
      </c>
    </row>
    <row r="5" spans="1:7" ht="12.75">
      <c r="A5" t="s">
        <v>196</v>
      </c>
      <c r="G5">
        <f>G4*'CalcoloUF+Fondo+Starter'!B28</f>
        <v>3120</v>
      </c>
    </row>
    <row r="6" spans="1:6" ht="12.75">
      <c r="A6" s="2" t="s">
        <v>197</v>
      </c>
      <c r="B6" s="2"/>
      <c r="C6" s="2"/>
      <c r="D6" s="2">
        <f>SUM(D8:D29)*$G5/1000</f>
        <v>134.34720000000002</v>
      </c>
      <c r="E6" s="2">
        <f>SUM(E8:E29)*$G5/1000</f>
        <v>100.86959999999999</v>
      </c>
      <c r="F6" s="2">
        <f>SUM(F8:F29)*$G5/1000</f>
        <v>330.09600000000006</v>
      </c>
    </row>
    <row r="7" ht="12.75">
      <c r="C7" t="s">
        <v>193</v>
      </c>
    </row>
    <row r="8" spans="1:17" ht="12.75">
      <c r="A8" t="s">
        <v>43</v>
      </c>
      <c r="C8" s="2"/>
      <c r="D8">
        <f>C8*0.155</f>
        <v>0</v>
      </c>
      <c r="O8" s="27" t="s">
        <v>206</v>
      </c>
      <c r="P8" s="27"/>
      <c r="Q8" s="27"/>
    </row>
    <row r="9" spans="1:17" ht="12.75">
      <c r="A9" t="s">
        <v>44</v>
      </c>
      <c r="C9" s="2">
        <v>20</v>
      </c>
      <c r="D9">
        <f>C9*0.34</f>
        <v>6.800000000000001</v>
      </c>
      <c r="O9" s="27"/>
      <c r="P9" s="27"/>
      <c r="Q9" s="27"/>
    </row>
    <row r="10" spans="1:17" ht="12.75">
      <c r="A10" t="s">
        <v>45</v>
      </c>
      <c r="C10" s="2">
        <v>230</v>
      </c>
      <c r="D10">
        <f>C10*0.13</f>
        <v>29.900000000000002</v>
      </c>
      <c r="F10">
        <f>C10*0.46</f>
        <v>105.80000000000001</v>
      </c>
      <c r="O10" s="27"/>
      <c r="P10" s="27"/>
      <c r="Q10" s="27"/>
    </row>
    <row r="11" spans="1:17" ht="12.75">
      <c r="A11" t="s">
        <v>46</v>
      </c>
      <c r="C11" s="2">
        <v>53</v>
      </c>
      <c r="D11">
        <f>C11*0.12</f>
        <v>6.359999999999999</v>
      </c>
      <c r="E11">
        <f>C11*0.61</f>
        <v>32.33</v>
      </c>
      <c r="O11" s="27"/>
      <c r="P11" s="27"/>
      <c r="Q11" s="27"/>
    </row>
    <row r="12" spans="1:17" ht="12.75">
      <c r="A12" t="s">
        <v>47</v>
      </c>
      <c r="C12" s="2"/>
      <c r="E12">
        <f>C12*0.52</f>
        <v>0</v>
      </c>
      <c r="F12">
        <f>C12*0.34</f>
        <v>0</v>
      </c>
      <c r="O12" s="27"/>
      <c r="P12" s="27"/>
      <c r="Q12" s="27"/>
    </row>
    <row r="13" spans="1:17" ht="12.75">
      <c r="A13" t="s">
        <v>48</v>
      </c>
      <c r="C13" s="2"/>
      <c r="D13">
        <f>$C13*0.18</f>
        <v>0</v>
      </c>
      <c r="E13">
        <f>$C13*0.18</f>
        <v>0</v>
      </c>
      <c r="F13">
        <f>$C13*0.18</f>
        <v>0</v>
      </c>
      <c r="O13" s="27"/>
      <c r="P13" s="27"/>
      <c r="Q13" s="27"/>
    </row>
    <row r="14" spans="1:17" ht="12.75">
      <c r="A14" t="s">
        <v>49</v>
      </c>
      <c r="C14" s="2"/>
      <c r="D14">
        <f>$C14*0.2</f>
        <v>0</v>
      </c>
      <c r="E14">
        <f>$C14*0.2</f>
        <v>0</v>
      </c>
      <c r="F14">
        <f>$C14*0.2</f>
        <v>0</v>
      </c>
      <c r="O14" s="27"/>
      <c r="P14" s="27"/>
      <c r="Q14" s="27"/>
    </row>
    <row r="15" spans="1:17" ht="12.75">
      <c r="A15" t="s">
        <v>207</v>
      </c>
      <c r="C15" s="2"/>
      <c r="F15">
        <f>$C15*0.5</f>
        <v>0</v>
      </c>
      <c r="O15" s="27"/>
      <c r="P15" s="27"/>
      <c r="Q15" s="27"/>
    </row>
    <row r="16" spans="3:17" ht="12.75">
      <c r="C16" s="2"/>
      <c r="O16" s="27"/>
      <c r="P16" s="27"/>
      <c r="Q16" s="27"/>
    </row>
    <row r="17" spans="1:17" ht="12.75">
      <c r="A17" t="s">
        <v>192</v>
      </c>
      <c r="D17">
        <f>C17*0.16</f>
        <v>0</v>
      </c>
      <c r="H17" s="28">
        <f>C17/G$3*61/I17*J17*K17</f>
        <v>0</v>
      </c>
      <c r="I17">
        <v>63</v>
      </c>
      <c r="J17">
        <v>0.53</v>
      </c>
      <c r="K17">
        <v>1.33</v>
      </c>
      <c r="O17" s="27"/>
      <c r="P17" s="27"/>
      <c r="Q17" s="27"/>
    </row>
    <row r="18" spans="1:11" ht="12.75">
      <c r="A18" t="s">
        <v>198</v>
      </c>
      <c r="D18">
        <f>C18*0.21</f>
        <v>0</v>
      </c>
      <c r="H18" s="28">
        <f>C18/G$3*61/I18*J18*K18</f>
        <v>0</v>
      </c>
      <c r="I18">
        <v>63</v>
      </c>
      <c r="J18">
        <v>0.67</v>
      </c>
      <c r="K18">
        <v>1.41</v>
      </c>
    </row>
    <row r="19" spans="1:11" ht="12.75">
      <c r="A19" t="s">
        <v>199</v>
      </c>
      <c r="E19">
        <f>C19*0.86</f>
        <v>0</v>
      </c>
      <c r="H19" s="28">
        <f>C19/G$3*61/I19*J19*K19</f>
        <v>0</v>
      </c>
      <c r="I19">
        <v>98</v>
      </c>
      <c r="J19">
        <v>0.75</v>
      </c>
      <c r="K19">
        <v>1.58</v>
      </c>
    </row>
    <row r="20" spans="1:11" ht="12.75">
      <c r="A20" t="s">
        <v>200</v>
      </c>
      <c r="E20">
        <f>C20*1.06</f>
        <v>0</v>
      </c>
      <c r="H20" s="28">
        <f>C20/G$3*61/I20*J20*K20</f>
        <v>0</v>
      </c>
      <c r="I20">
        <v>98</v>
      </c>
      <c r="J20">
        <v>0.85</v>
      </c>
      <c r="K20">
        <v>1.73</v>
      </c>
    </row>
    <row r="21" spans="1:11" ht="12.75">
      <c r="A21" t="s">
        <v>201</v>
      </c>
      <c r="H21" s="28">
        <f>C21/G$3*61/I21*J21*K21</f>
        <v>0</v>
      </c>
      <c r="I21">
        <v>49</v>
      </c>
      <c r="J21">
        <v>0.94</v>
      </c>
      <c r="K21">
        <v>1.83</v>
      </c>
    </row>
  </sheetData>
  <sheetProtection/>
  <mergeCells count="1">
    <mergeCell ref="O8:Q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7">
      <selection activeCell="D41" sqref="D39:D41"/>
    </sheetView>
  </sheetViews>
  <sheetFormatPr defaultColWidth="9.140625" defaultRowHeight="12.75"/>
  <cols>
    <col min="1" max="1" width="44.140625" style="0" customWidth="1"/>
  </cols>
  <sheetData>
    <row r="1" spans="1:2" ht="12.75">
      <c r="A1" t="s">
        <v>210</v>
      </c>
      <c r="B1" s="2">
        <f>'CalcoloUF+Fondo+Starter'!B28</f>
        <v>1.2</v>
      </c>
    </row>
    <row r="2" spans="1:2" ht="12.75">
      <c r="A2" t="s">
        <v>209</v>
      </c>
      <c r="B2">
        <v>1.5</v>
      </c>
    </row>
    <row r="3" spans="1:2" ht="12.75">
      <c r="A3" t="s">
        <v>211</v>
      </c>
      <c r="B3">
        <v>0.3</v>
      </c>
    </row>
    <row r="4" spans="1:2" ht="12.75">
      <c r="A4" t="s">
        <v>212</v>
      </c>
      <c r="B4">
        <v>0.9</v>
      </c>
    </row>
    <row r="5" spans="2:3" ht="12.75">
      <c r="B5" t="s">
        <v>215</v>
      </c>
      <c r="C5" t="s">
        <v>216</v>
      </c>
    </row>
    <row r="6" spans="1:3" ht="12.75">
      <c r="A6" t="s">
        <v>213</v>
      </c>
      <c r="B6">
        <f>B1*10000/B2/B3*B4</f>
        <v>24000</v>
      </c>
      <c r="C6">
        <f>B6/60</f>
        <v>400</v>
      </c>
    </row>
    <row r="7" spans="1:2" ht="12.75">
      <c r="A7" t="s">
        <v>214</v>
      </c>
      <c r="B7">
        <v>80</v>
      </c>
    </row>
    <row r="8" spans="1:2" ht="12.75">
      <c r="A8" t="s">
        <v>217</v>
      </c>
      <c r="B8">
        <f>B6/B7</f>
        <v>300</v>
      </c>
    </row>
    <row r="9" spans="1:2" ht="12.75">
      <c r="A9" t="s">
        <v>218</v>
      </c>
      <c r="B9">
        <v>1</v>
      </c>
    </row>
    <row r="11" ht="12.75">
      <c r="A11" t="s">
        <v>219</v>
      </c>
    </row>
    <row r="12" spans="1:2" ht="12.75">
      <c r="A12" t="s">
        <v>43</v>
      </c>
      <c r="B12" s="1">
        <f>Fertirrigazione!C8*B$9*B$8/1000</f>
        <v>0</v>
      </c>
    </row>
    <row r="13" spans="1:2" ht="12.75">
      <c r="A13" t="s">
        <v>44</v>
      </c>
      <c r="B13" s="1">
        <f>Fertirrigazione!C9*B$9*B$8/1000</f>
        <v>6</v>
      </c>
    </row>
    <row r="14" spans="1:2" ht="12.75">
      <c r="A14" t="s">
        <v>45</v>
      </c>
      <c r="B14" s="1">
        <f>Fertirrigazione!C10*B$9*B$8/1000</f>
        <v>69</v>
      </c>
    </row>
    <row r="15" spans="1:2" ht="12.75">
      <c r="A15" t="s">
        <v>46</v>
      </c>
      <c r="B15" s="1">
        <f>Fertirrigazione!C11*B$9*B$8/1000</f>
        <v>15.9</v>
      </c>
    </row>
    <row r="16" spans="1:2" ht="12.75">
      <c r="A16" t="s">
        <v>47</v>
      </c>
      <c r="B16" s="1">
        <f>Fertirrigazione!C12*B$9*B$8/1000</f>
        <v>0</v>
      </c>
    </row>
    <row r="17" spans="1:2" ht="12.75">
      <c r="A17" t="s">
        <v>48</v>
      </c>
      <c r="B17" s="1">
        <f>Fertirrigazione!C13*B$9*B$8/1000</f>
        <v>0</v>
      </c>
    </row>
    <row r="18" spans="1:2" ht="12.75">
      <c r="A18" t="s">
        <v>49</v>
      </c>
      <c r="B18" s="1">
        <f>Fertirrigazione!C14*B$9*B$8/1000</f>
        <v>0</v>
      </c>
    </row>
    <row r="19" spans="1:2" ht="12.75">
      <c r="A19" t="s">
        <v>207</v>
      </c>
      <c r="B19" s="1">
        <f>Fertirrigazione!C15*B$9*B$8/1000</f>
        <v>0</v>
      </c>
    </row>
    <row r="20" spans="1:2" ht="12.75">
      <c r="A20" t="s">
        <v>220</v>
      </c>
      <c r="B20" s="1">
        <f>Fertirrigazione!C16*B$9*B$8/1000</f>
        <v>0</v>
      </c>
    </row>
    <row r="21" spans="1:2" ht="12.75">
      <c r="A21" t="s">
        <v>192</v>
      </c>
      <c r="B21" s="1">
        <f>Fertirrigazione!C17*B$9*B$8/1000</f>
        <v>0</v>
      </c>
    </row>
    <row r="22" spans="1:2" ht="12.75">
      <c r="A22" t="s">
        <v>198</v>
      </c>
      <c r="B22" s="1">
        <f>Fertirrigazione!C18*B$9*B$8/1000</f>
        <v>0</v>
      </c>
    </row>
    <row r="23" spans="1:2" ht="12.75">
      <c r="A23" t="s">
        <v>199</v>
      </c>
      <c r="B23" s="1">
        <f>Fertirrigazione!C19*B$9*B$8/1000</f>
        <v>0</v>
      </c>
    </row>
    <row r="24" spans="1:2" ht="12.75">
      <c r="A24" t="s">
        <v>200</v>
      </c>
      <c r="B24" s="1">
        <f>Fertirrigazione!C20*B$9*B$8/1000</f>
        <v>0</v>
      </c>
    </row>
    <row r="25" spans="1:2" ht="12.75">
      <c r="A25" t="s">
        <v>201</v>
      </c>
      <c r="B25" s="1">
        <f>Fertirrigazione!C21*B$9*B$8/1000</f>
        <v>0</v>
      </c>
    </row>
    <row r="27" spans="1:2" ht="12.75">
      <c r="A27" t="s">
        <v>223</v>
      </c>
      <c r="B27">
        <f>B9*1000/B7</f>
        <v>12.5</v>
      </c>
    </row>
    <row r="28" spans="1:2" ht="12.75">
      <c r="A28" t="s">
        <v>222</v>
      </c>
      <c r="B28">
        <f>Fertirrigazione!G5*1000/B6</f>
        <v>130</v>
      </c>
    </row>
    <row r="29" spans="1:2" ht="12.75">
      <c r="A29" t="s">
        <v>221</v>
      </c>
      <c r="B29">
        <f>B28/B27</f>
        <v>10.4</v>
      </c>
    </row>
    <row r="31" ht="12.75">
      <c r="A31" s="27" t="s">
        <v>224</v>
      </c>
    </row>
    <row r="32" ht="12.75">
      <c r="A32" s="27"/>
    </row>
    <row r="33" ht="12.75">
      <c r="B33" t="s">
        <v>225</v>
      </c>
    </row>
    <row r="34" spans="1:2" ht="12.75">
      <c r="A34" t="s">
        <v>43</v>
      </c>
      <c r="B34">
        <f>Fertirrigazione!C8*Fertirrigazione!G$5/1000/B$28</f>
        <v>0</v>
      </c>
    </row>
    <row r="35" spans="1:2" ht="12.75">
      <c r="A35" t="s">
        <v>44</v>
      </c>
      <c r="B35">
        <f>Fertirrigazione!C9*Fertirrigazione!G$5/1000/B$28</f>
        <v>0.48</v>
      </c>
    </row>
    <row r="36" spans="1:2" ht="12.75">
      <c r="A36" t="s">
        <v>45</v>
      </c>
      <c r="B36">
        <f>Fertirrigazione!C10*Fertirrigazione!G$5/1000/B$28</f>
        <v>5.5200000000000005</v>
      </c>
    </row>
    <row r="37" spans="1:2" ht="12.75">
      <c r="A37" t="s">
        <v>46</v>
      </c>
      <c r="B37">
        <f>Fertirrigazione!C11*Fertirrigazione!G$5/1000/B$28</f>
        <v>1.272</v>
      </c>
    </row>
    <row r="38" spans="1:2" ht="12.75">
      <c r="A38" t="s">
        <v>47</v>
      </c>
      <c r="B38">
        <f>Fertirrigazione!C12*Fertirrigazione!G$5/1000/B$28</f>
        <v>0</v>
      </c>
    </row>
    <row r="39" spans="1:2" ht="12.75">
      <c r="A39" t="s">
        <v>48</v>
      </c>
      <c r="B39">
        <f>Fertirrigazione!C13*Fertirrigazione!G$5/1000/B$28</f>
        <v>0</v>
      </c>
    </row>
    <row r="40" spans="1:2" ht="12.75">
      <c r="A40" t="s">
        <v>49</v>
      </c>
      <c r="B40">
        <f>Fertirrigazione!C14*Fertirrigazione!G$5/1000/B$28</f>
        <v>0</v>
      </c>
    </row>
    <row r="41" spans="1:2" ht="12.75">
      <c r="A41" t="s">
        <v>207</v>
      </c>
      <c r="B41">
        <f>Fertirrigazione!C15*Fertirrigazione!G$5/1000/B$28</f>
        <v>0</v>
      </c>
    </row>
  </sheetData>
  <sheetProtection/>
  <mergeCells count="1">
    <mergeCell ref="A31:A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80">
      <selection activeCell="D40" sqref="D40"/>
    </sheetView>
  </sheetViews>
  <sheetFormatPr defaultColWidth="9.140625" defaultRowHeight="12.75"/>
  <sheetData>
    <row r="1" spans="1:7" ht="12.75">
      <c r="A1" s="2" t="s">
        <v>50</v>
      </c>
      <c r="B1" s="2"/>
      <c r="C1" s="2"/>
      <c r="D1" s="2" t="s">
        <v>31</v>
      </c>
      <c r="E1" s="2" t="s">
        <v>32</v>
      </c>
      <c r="F1" s="2" t="s">
        <v>33</v>
      </c>
      <c r="G1" s="2" t="s">
        <v>51</v>
      </c>
    </row>
    <row r="2" spans="1:7" ht="18">
      <c r="A2" s="3" t="s">
        <v>52</v>
      </c>
      <c r="B2" s="4"/>
      <c r="C2" s="5"/>
      <c r="D2" s="6">
        <v>15</v>
      </c>
      <c r="E2" s="6">
        <v>5</v>
      </c>
      <c r="F2" s="6">
        <v>5</v>
      </c>
      <c r="G2" s="6"/>
    </row>
    <row r="3" spans="1:7" ht="12.75">
      <c r="A3" s="3" t="s">
        <v>53</v>
      </c>
      <c r="B3" s="6"/>
      <c r="C3" s="5"/>
      <c r="D3" s="6">
        <v>15.5</v>
      </c>
      <c r="E3" s="6"/>
      <c r="F3" s="6"/>
      <c r="G3" s="6"/>
    </row>
    <row r="4" spans="1:7" ht="12.75">
      <c r="A4" s="3" t="s">
        <v>54</v>
      </c>
      <c r="B4" s="6"/>
      <c r="C4" s="2"/>
      <c r="D4" s="6">
        <v>27</v>
      </c>
      <c r="E4" s="6"/>
      <c r="F4" s="6"/>
      <c r="G4" s="6"/>
    </row>
    <row r="5" spans="1:7" ht="12.75">
      <c r="A5" s="3" t="s">
        <v>55</v>
      </c>
      <c r="B5" s="6"/>
      <c r="C5" s="5"/>
      <c r="D5" s="7">
        <v>21</v>
      </c>
      <c r="E5" s="6"/>
      <c r="F5" s="6"/>
      <c r="G5" s="6"/>
    </row>
    <row r="6" spans="1:7" ht="12.75">
      <c r="A6" s="3" t="s">
        <v>56</v>
      </c>
      <c r="B6" s="6"/>
      <c r="C6" s="5"/>
      <c r="D6" s="7">
        <v>46</v>
      </c>
      <c r="E6" s="6"/>
      <c r="F6" s="6"/>
      <c r="G6" s="6"/>
    </row>
    <row r="7" spans="1:7" ht="12.75">
      <c r="A7" s="3" t="s">
        <v>57</v>
      </c>
      <c r="B7" s="6"/>
      <c r="C7" s="5"/>
      <c r="D7" s="6"/>
      <c r="E7" s="6">
        <v>21</v>
      </c>
      <c r="F7" s="6"/>
      <c r="G7" s="6"/>
    </row>
    <row r="8" spans="1:7" ht="12.75">
      <c r="A8" s="3" t="s">
        <v>42</v>
      </c>
      <c r="B8" s="6"/>
      <c r="C8" s="5"/>
      <c r="D8" s="6"/>
      <c r="E8" s="6">
        <v>46</v>
      </c>
      <c r="F8" s="6"/>
      <c r="G8" s="6"/>
    </row>
    <row r="9" spans="1:7" ht="12.75">
      <c r="A9" s="3" t="s">
        <v>58</v>
      </c>
      <c r="B9" s="6"/>
      <c r="C9" s="5"/>
      <c r="D9" s="7">
        <v>18</v>
      </c>
      <c r="E9" s="6">
        <v>46</v>
      </c>
      <c r="F9" s="6"/>
      <c r="G9" s="6"/>
    </row>
    <row r="10" spans="1:7" ht="12.75">
      <c r="A10" s="3" t="s">
        <v>59</v>
      </c>
      <c r="B10" s="6"/>
      <c r="C10" s="8"/>
      <c r="D10" s="7">
        <v>12</v>
      </c>
      <c r="E10" s="7">
        <v>61</v>
      </c>
      <c r="F10" s="6"/>
      <c r="G10" s="6"/>
    </row>
    <row r="11" spans="1:7" ht="12.75">
      <c r="A11" s="3" t="s">
        <v>60</v>
      </c>
      <c r="B11" s="6"/>
      <c r="C11" s="9"/>
      <c r="D11" s="6"/>
      <c r="E11" s="7">
        <v>85</v>
      </c>
      <c r="F11" s="6"/>
      <c r="G11" s="6"/>
    </row>
    <row r="12" spans="1:7" ht="12.75">
      <c r="A12" s="3" t="s">
        <v>61</v>
      </c>
      <c r="B12" s="6"/>
      <c r="C12" s="9"/>
      <c r="D12" s="6"/>
      <c r="E12" s="7">
        <v>106</v>
      </c>
      <c r="F12" s="6"/>
      <c r="G12" s="6"/>
    </row>
    <row r="13" spans="1:7" ht="12.75">
      <c r="A13" s="3" t="s">
        <v>62</v>
      </c>
      <c r="B13" s="6"/>
      <c r="C13" s="5"/>
      <c r="D13" s="6"/>
      <c r="E13" s="6"/>
      <c r="F13" s="6">
        <v>50</v>
      </c>
      <c r="G13" s="6"/>
    </row>
    <row r="14" spans="1:7" ht="12.75">
      <c r="A14" s="3" t="s">
        <v>63</v>
      </c>
      <c r="B14" s="6"/>
      <c r="C14" s="5"/>
      <c r="D14" s="6"/>
      <c r="E14" s="6"/>
      <c r="F14" s="6">
        <v>30</v>
      </c>
      <c r="G14" s="6">
        <v>10</v>
      </c>
    </row>
    <row r="15" spans="1:7" ht="12.75">
      <c r="A15" s="3" t="s">
        <v>45</v>
      </c>
      <c r="B15" s="6"/>
      <c r="C15" s="9"/>
      <c r="D15" s="6">
        <v>13</v>
      </c>
      <c r="E15" s="6"/>
      <c r="F15" s="6">
        <v>46</v>
      </c>
      <c r="G15" s="6"/>
    </row>
    <row r="16" spans="1:7" ht="12.75">
      <c r="A16" s="3" t="s">
        <v>64</v>
      </c>
      <c r="B16" s="6"/>
      <c r="C16" s="5"/>
      <c r="D16" s="6">
        <v>34</v>
      </c>
      <c r="E16" s="6"/>
      <c r="F16" s="6"/>
      <c r="G16" s="6"/>
    </row>
    <row r="17" spans="1:7" ht="12.75">
      <c r="A17" s="3" t="s">
        <v>65</v>
      </c>
      <c r="B17" s="6"/>
      <c r="C17" s="5">
        <v>10</v>
      </c>
      <c r="D17" s="6">
        <v>4</v>
      </c>
      <c r="E17" s="6"/>
      <c r="F17" s="7"/>
      <c r="G17" s="6"/>
    </row>
    <row r="18" spans="1:7" ht="12.75">
      <c r="A18" s="3" t="s">
        <v>66</v>
      </c>
      <c r="B18" s="6"/>
      <c r="C18" s="5"/>
      <c r="D18" s="7">
        <v>12</v>
      </c>
      <c r="E18" s="6">
        <v>61</v>
      </c>
      <c r="F18" s="6"/>
      <c r="G18" s="6"/>
    </row>
    <row r="19" spans="1:7" ht="12.75">
      <c r="A19" s="3" t="s">
        <v>67</v>
      </c>
      <c r="B19" s="6"/>
      <c r="C19" s="5"/>
      <c r="D19" s="7">
        <v>7</v>
      </c>
      <c r="E19" s="6">
        <v>35</v>
      </c>
      <c r="F19" s="7"/>
      <c r="G19" s="6"/>
    </row>
    <row r="20" spans="1:7" ht="12.75">
      <c r="A20" s="3" t="s">
        <v>68</v>
      </c>
      <c r="B20" s="6"/>
      <c r="C20" s="5"/>
      <c r="D20" s="7">
        <v>9</v>
      </c>
      <c r="E20" s="7">
        <v>12</v>
      </c>
      <c r="F20" s="7">
        <v>21</v>
      </c>
      <c r="G20" s="6"/>
    </row>
    <row r="21" spans="1:7" ht="12.75">
      <c r="A21" s="3" t="s">
        <v>69</v>
      </c>
      <c r="B21" s="6"/>
      <c r="C21" s="5"/>
      <c r="D21" s="7">
        <v>12</v>
      </c>
      <c r="E21" s="7">
        <v>24.5</v>
      </c>
      <c r="F21" s="6"/>
      <c r="G21" s="6"/>
    </row>
    <row r="22" spans="1:7" ht="12.75">
      <c r="A22" s="3" t="s">
        <v>70</v>
      </c>
      <c r="B22" s="6"/>
      <c r="C22" s="5"/>
      <c r="D22" s="7">
        <v>18.5</v>
      </c>
      <c r="E22" s="6"/>
      <c r="F22" s="6"/>
      <c r="G22" s="6"/>
    </row>
    <row r="23" spans="1:7" ht="12.75">
      <c r="A23" s="3" t="s">
        <v>71</v>
      </c>
      <c r="B23" s="6"/>
      <c r="C23" s="5"/>
      <c r="D23" s="7">
        <v>8</v>
      </c>
      <c r="E23" s="7">
        <v>10</v>
      </c>
      <c r="F23" s="6">
        <v>22</v>
      </c>
      <c r="G23" s="6"/>
    </row>
    <row r="24" spans="1:7" ht="12.75">
      <c r="A24" s="3" t="s">
        <v>72</v>
      </c>
      <c r="B24" s="6"/>
      <c r="C24" s="5"/>
      <c r="D24" s="7">
        <v>12</v>
      </c>
      <c r="E24" s="7">
        <v>6</v>
      </c>
      <c r="F24" s="6">
        <v>6</v>
      </c>
      <c r="G24" s="6"/>
    </row>
    <row r="25" spans="1:7" ht="12.75">
      <c r="A25" s="3" t="s">
        <v>73</v>
      </c>
      <c r="B25" s="6"/>
      <c r="C25" s="5"/>
      <c r="D25" s="7">
        <v>3</v>
      </c>
      <c r="E25" s="7">
        <v>22</v>
      </c>
      <c r="F25" s="6"/>
      <c r="G25" s="6"/>
    </row>
    <row r="26" spans="1:7" ht="12.75">
      <c r="A26" s="3" t="s">
        <v>74</v>
      </c>
      <c r="B26" s="6"/>
      <c r="C26" s="5"/>
      <c r="D26" s="7">
        <v>18</v>
      </c>
      <c r="E26" s="7">
        <v>9</v>
      </c>
      <c r="F26" s="6">
        <v>18</v>
      </c>
      <c r="G26" s="6"/>
    </row>
    <row r="27" spans="1:7" ht="12.75">
      <c r="A27" s="3" t="s">
        <v>75</v>
      </c>
      <c r="B27" s="6"/>
      <c r="C27" s="5"/>
      <c r="D27" s="6"/>
      <c r="E27" s="6"/>
      <c r="F27" s="6"/>
      <c r="G27" s="6"/>
    </row>
    <row r="28" spans="1:7" ht="12.75">
      <c r="A28" s="3" t="s">
        <v>76</v>
      </c>
      <c r="B28" s="6"/>
      <c r="C28" s="5"/>
      <c r="D28" s="7">
        <v>7</v>
      </c>
      <c r="E28" s="7">
        <v>25</v>
      </c>
      <c r="F28" s="6"/>
      <c r="G28" s="6"/>
    </row>
    <row r="29" spans="1:7" ht="12.75">
      <c r="A29" s="3" t="s">
        <v>77</v>
      </c>
      <c r="B29" s="6"/>
      <c r="C29" s="5"/>
      <c r="D29" s="7">
        <v>8</v>
      </c>
      <c r="E29" s="7">
        <v>24</v>
      </c>
      <c r="F29" s="6">
        <v>20</v>
      </c>
      <c r="G29" s="6"/>
    </row>
    <row r="30" spans="1:7" ht="12.75">
      <c r="A30" s="3" t="s">
        <v>78</v>
      </c>
      <c r="B30" s="6"/>
      <c r="C30" s="5"/>
      <c r="D30" s="7">
        <v>8</v>
      </c>
      <c r="E30" s="7">
        <v>10</v>
      </c>
      <c r="F30" s="6">
        <v>22</v>
      </c>
      <c r="G30" s="6"/>
    </row>
    <row r="31" spans="1:7" ht="12.75">
      <c r="A31" s="3" t="s">
        <v>79</v>
      </c>
      <c r="B31" s="6"/>
      <c r="C31" s="5"/>
      <c r="D31" s="7">
        <v>4</v>
      </c>
      <c r="E31" s="7">
        <v>8</v>
      </c>
      <c r="F31" s="7">
        <v>16</v>
      </c>
      <c r="G31" s="6"/>
    </row>
    <row r="32" spans="1:7" ht="12.75">
      <c r="A32" s="3" t="s">
        <v>80</v>
      </c>
      <c r="B32" s="6"/>
      <c r="C32" s="5"/>
      <c r="D32" s="7">
        <v>4</v>
      </c>
      <c r="E32" s="7">
        <v>7</v>
      </c>
      <c r="F32" s="7">
        <v>14</v>
      </c>
      <c r="G32" s="7">
        <v>2</v>
      </c>
    </row>
    <row r="33" spans="1:7" ht="12.75">
      <c r="A33" s="3" t="s">
        <v>81</v>
      </c>
      <c r="B33" s="6"/>
      <c r="C33" s="5"/>
      <c r="D33" s="7">
        <v>5</v>
      </c>
      <c r="E33" s="7">
        <v>5</v>
      </c>
      <c r="F33" s="7">
        <v>8</v>
      </c>
      <c r="G33" s="6"/>
    </row>
    <row r="34" spans="1:7" ht="12.75">
      <c r="A34" s="3" t="s">
        <v>82</v>
      </c>
      <c r="B34" s="6"/>
      <c r="C34" s="5"/>
      <c r="D34" s="6"/>
      <c r="E34" s="7">
        <v>10</v>
      </c>
      <c r="F34" s="7">
        <v>25</v>
      </c>
      <c r="G34" s="6">
        <v>2</v>
      </c>
    </row>
    <row r="35" spans="1:7" ht="12.75">
      <c r="A35" s="3" t="s">
        <v>83</v>
      </c>
      <c r="B35" s="6"/>
      <c r="C35" s="5"/>
      <c r="D35" s="7">
        <v>9</v>
      </c>
      <c r="E35" s="7">
        <v>16</v>
      </c>
      <c r="F35" s="7">
        <v>11</v>
      </c>
      <c r="G35" s="6"/>
    </row>
    <row r="36" spans="1:7" ht="13.5" thickBot="1">
      <c r="A36" s="10" t="s">
        <v>84</v>
      </c>
      <c r="B36" s="11"/>
      <c r="C36" s="12"/>
      <c r="D36" s="11">
        <v>12</v>
      </c>
      <c r="E36" s="11">
        <v>12</v>
      </c>
      <c r="F36" s="11">
        <v>17</v>
      </c>
      <c r="G36" s="11">
        <v>2</v>
      </c>
    </row>
    <row r="37" spans="1:7" ht="13.5" thickTop="1">
      <c r="A37" s="13" t="s">
        <v>85</v>
      </c>
      <c r="B37" s="6"/>
      <c r="C37" s="5"/>
      <c r="D37" s="6"/>
      <c r="E37" s="6"/>
      <c r="F37" s="6"/>
      <c r="G37" s="7">
        <v>16</v>
      </c>
    </row>
    <row r="38" spans="1:5" ht="12.75">
      <c r="A38" s="13" t="s">
        <v>86</v>
      </c>
      <c r="C38" s="2"/>
      <c r="D38" s="7">
        <v>5</v>
      </c>
      <c r="E38" s="7">
        <v>25</v>
      </c>
    </row>
    <row r="39" spans="1:5" ht="12.75">
      <c r="A39" s="13" t="s">
        <v>87</v>
      </c>
      <c r="C39" s="2"/>
      <c r="D39" s="7">
        <v>5</v>
      </c>
      <c r="E39" s="7">
        <v>30</v>
      </c>
    </row>
    <row r="40" spans="1:6" ht="12.75">
      <c r="A40" s="14" t="s">
        <v>88</v>
      </c>
      <c r="C40" s="2"/>
      <c r="D40" s="7">
        <v>14</v>
      </c>
      <c r="E40" s="7">
        <v>10</v>
      </c>
      <c r="F40">
        <v>24</v>
      </c>
    </row>
    <row r="41" spans="1:4" ht="12.75">
      <c r="A41" s="7" t="s">
        <v>89</v>
      </c>
      <c r="C41" s="2"/>
      <c r="D41" s="7">
        <v>21</v>
      </c>
    </row>
    <row r="42" spans="1:6" ht="12.75">
      <c r="A42" s="15" t="s">
        <v>90</v>
      </c>
      <c r="C42" s="2"/>
      <c r="D42" s="7">
        <v>8</v>
      </c>
      <c r="E42">
        <v>10</v>
      </c>
      <c r="F42">
        <v>22</v>
      </c>
    </row>
    <row r="43" spans="1:6" ht="12.75">
      <c r="A43" s="16" t="s">
        <v>91</v>
      </c>
      <c r="C43" s="2"/>
      <c r="D43" s="7">
        <v>12</v>
      </c>
      <c r="E43">
        <v>12</v>
      </c>
      <c r="F43">
        <v>12</v>
      </c>
    </row>
    <row r="44" spans="1:5" ht="12.75">
      <c r="A44" t="s">
        <v>92</v>
      </c>
      <c r="C44" s="2"/>
      <c r="D44" s="7">
        <v>10</v>
      </c>
      <c r="E44">
        <v>28</v>
      </c>
    </row>
    <row r="45" spans="1:4" ht="12.75">
      <c r="A45" t="s">
        <v>93</v>
      </c>
      <c r="C45" s="2"/>
      <c r="D45" s="7">
        <v>1.5</v>
      </c>
    </row>
    <row r="46" spans="1:5" ht="12.75">
      <c r="A46" t="s">
        <v>94</v>
      </c>
      <c r="C46" s="2"/>
      <c r="D46" s="7">
        <v>9</v>
      </c>
      <c r="E46">
        <v>30</v>
      </c>
    </row>
    <row r="47" spans="1:6" ht="12.75">
      <c r="A47" t="s">
        <v>95</v>
      </c>
      <c r="C47" s="2"/>
      <c r="D47" s="7">
        <v>20</v>
      </c>
      <c r="E47">
        <v>20</v>
      </c>
      <c r="F47">
        <v>20</v>
      </c>
    </row>
    <row r="48" spans="1:6" ht="12.75">
      <c r="A48" t="s">
        <v>96</v>
      </c>
      <c r="C48" s="2"/>
      <c r="D48" s="7">
        <v>3</v>
      </c>
      <c r="F48">
        <v>6</v>
      </c>
    </row>
    <row r="49" spans="1:6" ht="12.75">
      <c r="A49" t="s">
        <v>97</v>
      </c>
      <c r="C49" s="2"/>
      <c r="D49" s="7">
        <v>21</v>
      </c>
      <c r="E49">
        <v>21</v>
      </c>
      <c r="F49">
        <v>21</v>
      </c>
    </row>
    <row r="50" spans="1:7" ht="12.75">
      <c r="A50" t="s">
        <v>98</v>
      </c>
      <c r="C50" s="2"/>
      <c r="D50" s="7">
        <v>9</v>
      </c>
      <c r="F50">
        <v>6</v>
      </c>
      <c r="G50">
        <v>2</v>
      </c>
    </row>
    <row r="51" spans="1:7" ht="12.75">
      <c r="A51" t="s">
        <v>99</v>
      </c>
      <c r="C51" s="2"/>
      <c r="G51">
        <v>16</v>
      </c>
    </row>
    <row r="52" spans="1:4" ht="12.75">
      <c r="A52" t="s">
        <v>100</v>
      </c>
      <c r="C52" s="2"/>
      <c r="D52">
        <v>10</v>
      </c>
    </row>
    <row r="53" spans="1:4" ht="12.75">
      <c r="A53" t="s">
        <v>101</v>
      </c>
      <c r="C53" s="2"/>
      <c r="D53">
        <v>20</v>
      </c>
    </row>
    <row r="54" spans="1:6" ht="12.75">
      <c r="A54" t="s">
        <v>102</v>
      </c>
      <c r="C54" s="2"/>
      <c r="D54">
        <v>10</v>
      </c>
      <c r="E54">
        <v>5</v>
      </c>
      <c r="F54">
        <v>15</v>
      </c>
    </row>
    <row r="55" spans="1:6" ht="12.75">
      <c r="A55" t="s">
        <v>103</v>
      </c>
      <c r="C55" s="2"/>
      <c r="E55">
        <v>30</v>
      </c>
      <c r="F55">
        <v>20</v>
      </c>
    </row>
    <row r="56" spans="1:6" ht="12.75">
      <c r="A56" t="s">
        <v>104</v>
      </c>
      <c r="C56" s="2"/>
      <c r="D56">
        <v>11</v>
      </c>
      <c r="E56">
        <v>46</v>
      </c>
      <c r="F56">
        <v>0</v>
      </c>
    </row>
    <row r="57" spans="1:6" ht="12.75">
      <c r="A57" t="s">
        <v>105</v>
      </c>
      <c r="C57" s="2"/>
      <c r="D57">
        <v>8</v>
      </c>
      <c r="E57">
        <v>24</v>
      </c>
      <c r="F57">
        <v>24</v>
      </c>
    </row>
    <row r="58" spans="1:7" ht="12.75">
      <c r="A58" t="s">
        <v>106</v>
      </c>
      <c r="C58" s="2"/>
      <c r="G58">
        <v>16</v>
      </c>
    </row>
    <row r="59" spans="1:6" ht="12.75">
      <c r="A59" t="s">
        <v>107</v>
      </c>
      <c r="C59" s="2"/>
      <c r="D59">
        <v>3</v>
      </c>
      <c r="F59">
        <v>50</v>
      </c>
    </row>
    <row r="60" spans="1:4" ht="12.75">
      <c r="A60" t="s">
        <v>108</v>
      </c>
      <c r="C60" s="2"/>
      <c r="D60">
        <v>20</v>
      </c>
    </row>
    <row r="61" spans="1:6" ht="12.75">
      <c r="A61" t="s">
        <v>109</v>
      </c>
      <c r="C61" s="2"/>
      <c r="D61">
        <v>12</v>
      </c>
      <c r="E61">
        <v>6</v>
      </c>
      <c r="F61">
        <v>15</v>
      </c>
    </row>
    <row r="62" spans="1:6" ht="12.75">
      <c r="A62" t="s">
        <v>110</v>
      </c>
      <c r="C62" s="2"/>
      <c r="D62">
        <v>10</v>
      </c>
      <c r="E62">
        <v>5</v>
      </c>
      <c r="F62">
        <v>25</v>
      </c>
    </row>
    <row r="63" spans="1:6" ht="12.75">
      <c r="A63" t="s">
        <v>111</v>
      </c>
      <c r="C63" s="2"/>
      <c r="D63">
        <v>8</v>
      </c>
      <c r="E63">
        <v>5</v>
      </c>
      <c r="F63">
        <v>10</v>
      </c>
    </row>
    <row r="64" spans="1:5" ht="12.75">
      <c r="A64" t="s">
        <v>112</v>
      </c>
      <c r="C64" s="2"/>
      <c r="D64">
        <v>25</v>
      </c>
      <c r="E64">
        <v>15</v>
      </c>
    </row>
    <row r="65" spans="1:6" ht="12.75">
      <c r="A65" t="s">
        <v>113</v>
      </c>
      <c r="C65" s="2"/>
      <c r="E65">
        <v>52</v>
      </c>
      <c r="F65">
        <v>34</v>
      </c>
    </row>
    <row r="66" spans="1:6" ht="12.75">
      <c r="A66" t="s">
        <v>114</v>
      </c>
      <c r="C66" s="2"/>
      <c r="D66">
        <v>16</v>
      </c>
      <c r="E66">
        <v>10</v>
      </c>
      <c r="F66">
        <v>16</v>
      </c>
    </row>
    <row r="67" spans="1:6" ht="12.75">
      <c r="A67" t="s">
        <v>115</v>
      </c>
      <c r="C67" s="2"/>
      <c r="D67">
        <v>17</v>
      </c>
      <c r="E67">
        <v>9</v>
      </c>
      <c r="F67">
        <v>16</v>
      </c>
    </row>
    <row r="68" spans="1:6" ht="12.75">
      <c r="A68" t="s">
        <v>116</v>
      </c>
      <c r="C68" s="2"/>
      <c r="D68">
        <v>20</v>
      </c>
      <c r="E68">
        <v>10</v>
      </c>
      <c r="F68">
        <v>10</v>
      </c>
    </row>
    <row r="69" spans="1:6" ht="12.75">
      <c r="A69" t="s">
        <v>80</v>
      </c>
      <c r="C69" s="2"/>
      <c r="D69">
        <v>7</v>
      </c>
      <c r="E69">
        <v>5</v>
      </c>
      <c r="F69">
        <v>12</v>
      </c>
    </row>
    <row r="70" spans="1:4" ht="12.75">
      <c r="A70" t="s">
        <v>117</v>
      </c>
      <c r="C70" s="2"/>
      <c r="D70">
        <v>1</v>
      </c>
    </row>
    <row r="71" spans="1:6" ht="12.75">
      <c r="A71" t="s">
        <v>118</v>
      </c>
      <c r="C71" s="2"/>
      <c r="D71">
        <v>11</v>
      </c>
      <c r="E71">
        <v>8</v>
      </c>
      <c r="F71">
        <v>16</v>
      </c>
    </row>
    <row r="72" spans="1:6" ht="12.75">
      <c r="A72" t="s">
        <v>119</v>
      </c>
      <c r="C72" s="2"/>
      <c r="D72">
        <v>12</v>
      </c>
      <c r="E72">
        <v>10</v>
      </c>
      <c r="F72">
        <v>20</v>
      </c>
    </row>
    <row r="73" spans="1:6" ht="12.75">
      <c r="A73" t="s">
        <v>120</v>
      </c>
      <c r="C73" s="2"/>
      <c r="D73">
        <v>18</v>
      </c>
      <c r="E73">
        <v>18</v>
      </c>
      <c r="F73">
        <v>18</v>
      </c>
    </row>
    <row r="74" spans="1:4" ht="12.75">
      <c r="A74" t="s">
        <v>121</v>
      </c>
      <c r="C74" s="2"/>
      <c r="D74">
        <v>6</v>
      </c>
    </row>
    <row r="75" spans="1:6" ht="12.75">
      <c r="A75" t="s">
        <v>122</v>
      </c>
      <c r="C75" s="2"/>
      <c r="D75">
        <v>5</v>
      </c>
      <c r="E75">
        <v>7</v>
      </c>
      <c r="F75">
        <v>10</v>
      </c>
    </row>
    <row r="76" spans="1:4" ht="12.75">
      <c r="A76" t="s">
        <v>123</v>
      </c>
      <c r="C76" s="2"/>
      <c r="D76">
        <v>36</v>
      </c>
    </row>
    <row r="77" spans="1:6" ht="12.75">
      <c r="A77" t="s">
        <v>124</v>
      </c>
      <c r="C77" s="17"/>
      <c r="D77">
        <v>14</v>
      </c>
      <c r="E77">
        <v>7</v>
      </c>
      <c r="F77">
        <v>28</v>
      </c>
    </row>
    <row r="78" spans="1:5" ht="12.75">
      <c r="A78" t="s">
        <v>125</v>
      </c>
      <c r="C78" s="2"/>
      <c r="D78">
        <v>10</v>
      </c>
      <c r="E78">
        <v>47</v>
      </c>
    </row>
    <row r="79" spans="1:6" ht="12.75">
      <c r="A79" t="s">
        <v>126</v>
      </c>
      <c r="C79" s="2"/>
      <c r="D79">
        <v>6</v>
      </c>
      <c r="F79">
        <v>49</v>
      </c>
    </row>
    <row r="80" spans="1:6" ht="12.75">
      <c r="A80" t="s">
        <v>127</v>
      </c>
      <c r="C80" s="2"/>
      <c r="D80">
        <v>4</v>
      </c>
      <c r="E80">
        <v>6</v>
      </c>
      <c r="F80">
        <v>12</v>
      </c>
    </row>
    <row r="81" spans="1:6" ht="12.75">
      <c r="A81" t="s">
        <v>128</v>
      </c>
      <c r="C81" s="2"/>
      <c r="D81">
        <v>7</v>
      </c>
      <c r="E81">
        <v>14</v>
      </c>
      <c r="F81">
        <v>21</v>
      </c>
    </row>
    <row r="82" spans="1:6" ht="12.75">
      <c r="A82" t="s">
        <v>129</v>
      </c>
      <c r="C82" s="2"/>
      <c r="D82">
        <v>21</v>
      </c>
      <c r="E82">
        <v>0</v>
      </c>
      <c r="F82">
        <v>0</v>
      </c>
    </row>
    <row r="83" spans="1:6" ht="12.75">
      <c r="A83" t="s">
        <v>130</v>
      </c>
      <c r="C83" s="2"/>
      <c r="F83">
        <v>50</v>
      </c>
    </row>
    <row r="84" spans="1:4" ht="12.75">
      <c r="A84" t="s">
        <v>131</v>
      </c>
      <c r="C84" s="2"/>
      <c r="D84">
        <v>26</v>
      </c>
    </row>
    <row r="85" spans="1:6" ht="12.75">
      <c r="A85" t="s">
        <v>132</v>
      </c>
      <c r="C85" s="2"/>
      <c r="D85">
        <v>6</v>
      </c>
      <c r="E85">
        <v>10</v>
      </c>
      <c r="F85">
        <v>15</v>
      </c>
    </row>
    <row r="86" spans="1:4" ht="12.75">
      <c r="A86" t="s">
        <v>133</v>
      </c>
      <c r="C86" s="2"/>
      <c r="D86">
        <v>8</v>
      </c>
    </row>
    <row r="87" spans="1:7" ht="12.75">
      <c r="A87" t="s">
        <v>134</v>
      </c>
      <c r="C87" s="2"/>
      <c r="D87">
        <v>3</v>
      </c>
      <c r="E87">
        <v>15</v>
      </c>
      <c r="F87">
        <v>9</v>
      </c>
      <c r="G87">
        <v>2</v>
      </c>
    </row>
    <row r="88" spans="1:7" ht="12.75">
      <c r="A88" t="s">
        <v>135</v>
      </c>
      <c r="C88" s="2"/>
      <c r="D88">
        <v>10</v>
      </c>
      <c r="E88">
        <v>5</v>
      </c>
      <c r="F88">
        <v>15</v>
      </c>
      <c r="G88">
        <v>3</v>
      </c>
    </row>
    <row r="89" spans="1:4" ht="12.75">
      <c r="A89" t="s">
        <v>136</v>
      </c>
      <c r="C89" s="2"/>
      <c r="D89">
        <v>4</v>
      </c>
    </row>
    <row r="90" spans="1:6" ht="12.75">
      <c r="A90" t="s">
        <v>137</v>
      </c>
      <c r="C90" s="2"/>
      <c r="E90">
        <v>30</v>
      </c>
      <c r="F90">
        <v>40</v>
      </c>
    </row>
    <row r="91" spans="1:6" ht="12.75">
      <c r="A91" t="s">
        <v>138</v>
      </c>
      <c r="C91" s="2"/>
      <c r="D91">
        <v>4</v>
      </c>
      <c r="E91">
        <v>8</v>
      </c>
      <c r="F91">
        <v>12</v>
      </c>
    </row>
    <row r="92" spans="1:6" ht="12.75">
      <c r="A92" t="s">
        <v>139</v>
      </c>
      <c r="C92" s="2"/>
      <c r="D92">
        <v>6</v>
      </c>
      <c r="E92">
        <v>8</v>
      </c>
      <c r="F92">
        <v>15</v>
      </c>
    </row>
    <row r="93" spans="1:5" ht="12.75">
      <c r="A93" s="18" t="s">
        <v>140</v>
      </c>
      <c r="C93" s="2"/>
      <c r="D93">
        <v>10</v>
      </c>
      <c r="E93">
        <v>25</v>
      </c>
    </row>
    <row r="94" spans="1:6" ht="12.75">
      <c r="A94" t="s">
        <v>141</v>
      </c>
      <c r="C94" s="2"/>
      <c r="D94">
        <v>10</v>
      </c>
      <c r="E94">
        <v>5</v>
      </c>
      <c r="F94">
        <v>12</v>
      </c>
    </row>
    <row r="95" spans="1:6" ht="12.75">
      <c r="A95" t="s">
        <v>142</v>
      </c>
      <c r="C95" s="2"/>
      <c r="D95">
        <v>10</v>
      </c>
      <c r="E95">
        <v>5</v>
      </c>
      <c r="F95">
        <v>5</v>
      </c>
    </row>
    <row r="96" spans="1:6" ht="12.75">
      <c r="A96" t="s">
        <v>143</v>
      </c>
      <c r="C96" s="2"/>
      <c r="D96">
        <v>0.16</v>
      </c>
      <c r="E96">
        <v>0.24</v>
      </c>
      <c r="F96">
        <v>1.42</v>
      </c>
    </row>
    <row r="97" spans="1:6" ht="12.75">
      <c r="A97" t="s">
        <v>144</v>
      </c>
      <c r="C97" s="2"/>
      <c r="D97">
        <v>5</v>
      </c>
      <c r="E97">
        <v>10</v>
      </c>
      <c r="F97">
        <v>20</v>
      </c>
    </row>
    <row r="98" spans="1:5" ht="12.75">
      <c r="A98" t="s">
        <v>145</v>
      </c>
      <c r="C98" s="2"/>
      <c r="D98">
        <v>12</v>
      </c>
      <c r="E98">
        <v>30</v>
      </c>
    </row>
    <row r="99" spans="1:6" ht="12.75">
      <c r="A99" t="s">
        <v>146</v>
      </c>
      <c r="C99" s="2"/>
      <c r="D99">
        <v>20</v>
      </c>
      <c r="E99">
        <v>20</v>
      </c>
      <c r="F99">
        <v>20</v>
      </c>
    </row>
    <row r="100" spans="1:7" ht="12.75">
      <c r="A100" t="s">
        <v>147</v>
      </c>
      <c r="C100" s="2"/>
      <c r="D100">
        <v>11</v>
      </c>
      <c r="G100">
        <v>17</v>
      </c>
    </row>
    <row r="101" spans="1:6" ht="12.75">
      <c r="A101" s="15" t="s">
        <v>148</v>
      </c>
      <c r="C101" s="2"/>
      <c r="D101">
        <v>20</v>
      </c>
      <c r="E101">
        <v>10</v>
      </c>
      <c r="F101">
        <v>10</v>
      </c>
    </row>
    <row r="102" spans="1:6" ht="12.75">
      <c r="A102" t="s">
        <v>149</v>
      </c>
      <c r="C102" s="2"/>
      <c r="D102">
        <v>11</v>
      </c>
      <c r="E102">
        <v>22</v>
      </c>
      <c r="F102">
        <v>16</v>
      </c>
    </row>
    <row r="103" spans="1:6" ht="12.75">
      <c r="A103" t="s">
        <v>150</v>
      </c>
      <c r="C103" s="2"/>
      <c r="D103">
        <v>14</v>
      </c>
      <c r="E103">
        <v>7</v>
      </c>
      <c r="F103">
        <v>7</v>
      </c>
    </row>
    <row r="104" spans="1:6" ht="12.75">
      <c r="A104" t="s">
        <v>150</v>
      </c>
      <c r="C104" s="2"/>
      <c r="D104">
        <v>4</v>
      </c>
      <c r="E104">
        <v>8</v>
      </c>
      <c r="F104">
        <v>16</v>
      </c>
    </row>
    <row r="105" spans="1:6" ht="12.75">
      <c r="A105" s="15" t="s">
        <v>151</v>
      </c>
      <c r="C105" s="2"/>
      <c r="D105">
        <v>15</v>
      </c>
      <c r="E105">
        <v>10</v>
      </c>
      <c r="F105">
        <v>30</v>
      </c>
    </row>
    <row r="106" spans="1:6" ht="12.75">
      <c r="A106" s="19" t="s">
        <v>152</v>
      </c>
      <c r="C106" s="2"/>
      <c r="D106">
        <v>6</v>
      </c>
      <c r="E106">
        <v>21</v>
      </c>
      <c r="F106">
        <v>36</v>
      </c>
    </row>
    <row r="107" spans="1:5" ht="12.75">
      <c r="A107" t="s">
        <v>153</v>
      </c>
      <c r="C107" s="2"/>
      <c r="D107">
        <v>15</v>
      </c>
      <c r="E107">
        <v>27</v>
      </c>
    </row>
    <row r="108" spans="1:6" ht="12.75">
      <c r="A108" t="s">
        <v>154</v>
      </c>
      <c r="C108" s="2">
        <v>0.22</v>
      </c>
      <c r="D108">
        <v>21</v>
      </c>
      <c r="E108">
        <v>0</v>
      </c>
      <c r="F108">
        <v>0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J20"/>
  <sheetViews>
    <sheetView zoomScalePageLayoutView="0" workbookViewId="0" topLeftCell="A1">
      <selection activeCell="L10" sqref="L10"/>
    </sheetView>
  </sheetViews>
  <sheetFormatPr defaultColWidth="9.140625" defaultRowHeight="12.75"/>
  <cols>
    <col min="6" max="6" width="45.7109375" style="0" customWidth="1"/>
  </cols>
  <sheetData>
    <row r="6" spans="2:4" ht="12.75">
      <c r="B6" s="25" t="s">
        <v>155</v>
      </c>
      <c r="C6" s="25"/>
      <c r="D6" s="20"/>
    </row>
    <row r="7" spans="1:6" ht="76.5">
      <c r="A7" s="21" t="s">
        <v>156</v>
      </c>
      <c r="B7" s="21" t="s">
        <v>157</v>
      </c>
      <c r="C7" s="21" t="s">
        <v>158</v>
      </c>
      <c r="D7" s="21" t="s">
        <v>159</v>
      </c>
      <c r="E7" s="21" t="s">
        <v>160</v>
      </c>
      <c r="F7" s="21" t="s">
        <v>161</v>
      </c>
    </row>
    <row r="8" spans="1:6" ht="38.25">
      <c r="A8" s="22" t="s">
        <v>162</v>
      </c>
      <c r="B8">
        <v>1550</v>
      </c>
      <c r="C8">
        <v>1850</v>
      </c>
      <c r="D8" s="2">
        <f>AVERAGE(B8:C8)</f>
        <v>1700</v>
      </c>
      <c r="E8" s="22" t="s">
        <v>163</v>
      </c>
      <c r="F8" s="22" t="s">
        <v>164</v>
      </c>
    </row>
    <row r="9" spans="1:6" ht="38.25">
      <c r="A9" s="22" t="s">
        <v>165</v>
      </c>
      <c r="B9">
        <v>800</v>
      </c>
      <c r="C9">
        <v>1500</v>
      </c>
      <c r="D9" s="2">
        <f aca="true" t="shared" si="0" ref="D9:D20">AVERAGE(B9:C9)</f>
        <v>1150</v>
      </c>
      <c r="E9" s="22" t="s">
        <v>163</v>
      </c>
      <c r="F9" s="22" t="s">
        <v>164</v>
      </c>
    </row>
    <row r="10" spans="1:6" ht="38.25">
      <c r="A10" s="22" t="s">
        <v>166</v>
      </c>
      <c r="B10">
        <v>1950</v>
      </c>
      <c r="C10">
        <v>2400</v>
      </c>
      <c r="D10" s="2">
        <f t="shared" si="0"/>
        <v>2175</v>
      </c>
      <c r="E10" s="22" t="s">
        <v>163</v>
      </c>
      <c r="F10" s="22" t="s">
        <v>164</v>
      </c>
    </row>
    <row r="11" spans="1:6" ht="38.25">
      <c r="A11" s="22" t="s">
        <v>167</v>
      </c>
      <c r="B11">
        <v>1400</v>
      </c>
      <c r="C11">
        <v>1750</v>
      </c>
      <c r="D11" s="2">
        <f t="shared" si="0"/>
        <v>1575</v>
      </c>
      <c r="E11" s="22" t="s">
        <v>163</v>
      </c>
      <c r="F11" s="22" t="s">
        <v>164</v>
      </c>
    </row>
    <row r="12" spans="1:10" ht="38.25">
      <c r="A12" s="22" t="s">
        <v>168</v>
      </c>
      <c r="B12">
        <v>1000</v>
      </c>
      <c r="C12">
        <v>1000</v>
      </c>
      <c r="D12" s="2">
        <f t="shared" si="0"/>
        <v>1000</v>
      </c>
      <c r="E12" s="22" t="s">
        <v>169</v>
      </c>
      <c r="F12" s="22" t="s">
        <v>164</v>
      </c>
      <c r="G12" s="26" t="s">
        <v>170</v>
      </c>
      <c r="H12" s="26"/>
      <c r="I12" s="26"/>
      <c r="J12" s="26"/>
    </row>
    <row r="13" spans="1:6" ht="38.25">
      <c r="A13" s="22" t="s">
        <v>171</v>
      </c>
      <c r="B13">
        <v>2900</v>
      </c>
      <c r="C13">
        <v>2350</v>
      </c>
      <c r="D13" s="2">
        <f t="shared" si="0"/>
        <v>2625</v>
      </c>
      <c r="E13" s="22" t="s">
        <v>163</v>
      </c>
      <c r="F13" s="22" t="s">
        <v>172</v>
      </c>
    </row>
    <row r="14" spans="1:6" ht="89.25">
      <c r="A14" s="22" t="s">
        <v>173</v>
      </c>
      <c r="B14">
        <v>2600</v>
      </c>
      <c r="C14">
        <v>1800</v>
      </c>
      <c r="D14" s="2">
        <f t="shared" si="0"/>
        <v>2200</v>
      </c>
      <c r="E14" s="22" t="s">
        <v>163</v>
      </c>
      <c r="F14" s="22" t="s">
        <v>164</v>
      </c>
    </row>
    <row r="15" spans="1:6" ht="76.5">
      <c r="A15" s="22" t="s">
        <v>174</v>
      </c>
      <c r="B15">
        <v>950</v>
      </c>
      <c r="C15">
        <v>1800</v>
      </c>
      <c r="D15" s="2">
        <f t="shared" si="0"/>
        <v>1375</v>
      </c>
      <c r="E15" s="22" t="s">
        <v>163</v>
      </c>
      <c r="F15" s="22" t="s">
        <v>175</v>
      </c>
    </row>
    <row r="16" spans="1:6" ht="63.75">
      <c r="A16" s="22" t="s">
        <v>176</v>
      </c>
      <c r="B16">
        <v>270</v>
      </c>
      <c r="C16">
        <v>400</v>
      </c>
      <c r="D16" s="2">
        <f t="shared" si="0"/>
        <v>335</v>
      </c>
      <c r="E16" s="22" t="s">
        <v>177</v>
      </c>
      <c r="F16" s="22" t="s">
        <v>175</v>
      </c>
    </row>
    <row r="17" spans="1:6" ht="25.5">
      <c r="A17" s="22" t="s">
        <v>178</v>
      </c>
      <c r="B17">
        <v>260</v>
      </c>
      <c r="C17">
        <v>780</v>
      </c>
      <c r="D17" s="2">
        <f t="shared" si="0"/>
        <v>520</v>
      </c>
      <c r="E17" s="22" t="s">
        <v>169</v>
      </c>
      <c r="F17" s="22" t="s">
        <v>175</v>
      </c>
    </row>
    <row r="18" spans="1:6" ht="25.5">
      <c r="A18" s="22" t="s">
        <v>179</v>
      </c>
      <c r="B18">
        <v>756</v>
      </c>
      <c r="C18">
        <v>1890</v>
      </c>
      <c r="D18" s="2">
        <f t="shared" si="0"/>
        <v>1323</v>
      </c>
      <c r="E18" s="22" t="s">
        <v>169</v>
      </c>
      <c r="F18" s="22" t="s">
        <v>175</v>
      </c>
    </row>
    <row r="19" spans="1:6" ht="25.5">
      <c r="A19" s="22" t="s">
        <v>180</v>
      </c>
      <c r="B19">
        <v>206</v>
      </c>
      <c r="C19">
        <v>413</v>
      </c>
      <c r="D19" s="2">
        <f t="shared" si="0"/>
        <v>309.5</v>
      </c>
      <c r="E19" s="22"/>
      <c r="F19" s="22"/>
    </row>
    <row r="20" spans="1:6" ht="25.5">
      <c r="A20" s="22" t="s">
        <v>181</v>
      </c>
      <c r="B20">
        <v>2700</v>
      </c>
      <c r="C20">
        <v>2700</v>
      </c>
      <c r="D20" s="2">
        <f t="shared" si="0"/>
        <v>2700</v>
      </c>
      <c r="E20" s="22" t="s">
        <v>169</v>
      </c>
      <c r="F20" s="22" t="s">
        <v>164</v>
      </c>
    </row>
  </sheetData>
  <sheetProtection/>
  <mergeCells count="2">
    <mergeCell ref="B6:C6"/>
    <mergeCell ref="G12:J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2009-07-01T07:58:09Z</dcterms:created>
  <dcterms:modified xsi:type="dcterms:W3CDTF">2009-08-17T10:51:13Z</dcterms:modified>
  <cp:category/>
  <cp:version/>
  <cp:contentType/>
  <cp:contentStatus/>
</cp:coreProperties>
</file>